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GO\Consumer\CP\Dmosteller\Opioids\NC Local Governments\"/>
    </mc:Choice>
  </mc:AlternateContent>
  <xr:revisionPtr revIDLastSave="0" documentId="13_ncr:1_{25D3F2FE-AC7E-4B5D-9BDF-A4D24CB536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C Opioid Settlement Payments" sheetId="1" r:id="rId1"/>
    <sheet name="no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E36" i="1"/>
  <c r="E35" i="1"/>
  <c r="E34" i="1"/>
  <c r="E32" i="1"/>
  <c r="E31" i="1"/>
  <c r="E30" i="1"/>
  <c r="E29" i="1"/>
  <c r="E28" i="1"/>
  <c r="E26" i="1"/>
  <c r="E25" i="1"/>
  <c r="E24" i="1"/>
  <c r="E23" i="1"/>
  <c r="E14" i="1"/>
  <c r="E5" i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3" i="1"/>
  <c r="E33" i="1" s="1"/>
  <c r="D32" i="1"/>
  <c r="D27" i="1"/>
  <c r="E27" i="1" s="1"/>
  <c r="D23" i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D4" i="1"/>
  <c r="E4" i="1" s="1"/>
  <c r="D3" i="1"/>
  <c r="E3" i="1" s="1"/>
</calcChain>
</file>

<file path=xl/sharedStrings.xml><?xml version="1.0" encoding="utf-8"?>
<sst xmlns="http://schemas.openxmlformats.org/spreadsheetml/2006/main" count="124" uniqueCount="124">
  <si>
    <t>Estimated Distributor and Janssen Disbursements to North Carolina</t>
  </si>
  <si>
    <t>County/Municipality</t>
  </si>
  <si>
    <t>% of Local Gov't Pymts</t>
  </si>
  <si>
    <t>Available $ to Local Gov't 2022-2038</t>
  </si>
  <si>
    <t xml:space="preserve">Alamance </t>
  </si>
  <si>
    <t xml:space="preserve">Alexander </t>
  </si>
  <si>
    <t xml:space="preserve">Alleghany </t>
  </si>
  <si>
    <t xml:space="preserve">Anson </t>
  </si>
  <si>
    <t xml:space="preserve">Ashe </t>
  </si>
  <si>
    <t xml:space="preserve">Avery </t>
  </si>
  <si>
    <t xml:space="preserve">Beaufort </t>
  </si>
  <si>
    <t xml:space="preserve">Bertie </t>
  </si>
  <si>
    <t xml:space="preserve">Bladen </t>
  </si>
  <si>
    <t xml:space="preserve">Brunswick </t>
  </si>
  <si>
    <t xml:space="preserve">Burke </t>
  </si>
  <si>
    <t xml:space="preserve">Caldwell </t>
  </si>
  <si>
    <t xml:space="preserve">Camden </t>
  </si>
  <si>
    <t xml:space="preserve">Carteret </t>
  </si>
  <si>
    <t xml:space="preserve">Caswell </t>
  </si>
  <si>
    <t xml:space="preserve">Chatham </t>
  </si>
  <si>
    <t xml:space="preserve">Cherokee </t>
  </si>
  <si>
    <t xml:space="preserve">Chowan </t>
  </si>
  <si>
    <t>City of Asheville</t>
  </si>
  <si>
    <t>City of Charlotte</t>
  </si>
  <si>
    <t>City of Concord</t>
  </si>
  <si>
    <t>City of Durham</t>
  </si>
  <si>
    <t>City of Fayetteville</t>
  </si>
  <si>
    <t>City of Greensboro</t>
  </si>
  <si>
    <t>City of Greenville</t>
  </si>
  <si>
    <t>City of Henderson</t>
  </si>
  <si>
    <t>City of Hickory</t>
  </si>
  <si>
    <t>City of High Point</t>
  </si>
  <si>
    <t>City of Jacksonville</t>
  </si>
  <si>
    <t>City of Wilmington</t>
  </si>
  <si>
    <t>City of Winston-Salem</t>
  </si>
  <si>
    <t xml:space="preserve">Clay </t>
  </si>
  <si>
    <t xml:space="preserve">Cleveland </t>
  </si>
  <si>
    <t xml:space="preserve">Columbus </t>
  </si>
  <si>
    <t xml:space="preserve">Craven </t>
  </si>
  <si>
    <t xml:space="preserve">Currituck </t>
  </si>
  <si>
    <t xml:space="preserve">Dare </t>
  </si>
  <si>
    <t xml:space="preserve">Davidson </t>
  </si>
  <si>
    <t xml:space="preserve">Davie </t>
  </si>
  <si>
    <t xml:space="preserve">Duplin </t>
  </si>
  <si>
    <t xml:space="preserve">Edgecombe </t>
  </si>
  <si>
    <t xml:space="preserve">Franklin </t>
  </si>
  <si>
    <t xml:space="preserve">Gaston </t>
  </si>
  <si>
    <t xml:space="preserve">Gates </t>
  </si>
  <si>
    <t xml:space="preserve">Graham </t>
  </si>
  <si>
    <t xml:space="preserve">Granville </t>
  </si>
  <si>
    <t xml:space="preserve">Greene </t>
  </si>
  <si>
    <t xml:space="preserve">Halifax </t>
  </si>
  <si>
    <t xml:space="preserve">Harnett </t>
  </si>
  <si>
    <t xml:space="preserve">Henderson </t>
  </si>
  <si>
    <t xml:space="preserve">Hertford </t>
  </si>
  <si>
    <t xml:space="preserve">Hoke </t>
  </si>
  <si>
    <t xml:space="preserve">Hyde </t>
  </si>
  <si>
    <t xml:space="preserve">Iredell </t>
  </si>
  <si>
    <t xml:space="preserve">Jackson </t>
  </si>
  <si>
    <t xml:space="preserve">Johnston </t>
  </si>
  <si>
    <t xml:space="preserve">Jones </t>
  </si>
  <si>
    <t xml:space="preserve">Lee </t>
  </si>
  <si>
    <t xml:space="preserve">Lenoir </t>
  </si>
  <si>
    <t xml:space="preserve">Lincoln </t>
  </si>
  <si>
    <t xml:space="preserve">Macon </t>
  </si>
  <si>
    <t xml:space="preserve">Madison </t>
  </si>
  <si>
    <t xml:space="preserve">Martin </t>
  </si>
  <si>
    <t xml:space="preserve">McDowell </t>
  </si>
  <si>
    <t xml:space="preserve">Mitchell </t>
  </si>
  <si>
    <t xml:space="preserve">Montgomery </t>
  </si>
  <si>
    <t xml:space="preserve">Moore </t>
  </si>
  <si>
    <t xml:space="preserve">Nash </t>
  </si>
  <si>
    <t xml:space="preserve">Northampton </t>
  </si>
  <si>
    <t xml:space="preserve">Orange </t>
  </si>
  <si>
    <t xml:space="preserve">Pamlico </t>
  </si>
  <si>
    <t xml:space="preserve">Pasquotank </t>
  </si>
  <si>
    <t xml:space="preserve">Pender </t>
  </si>
  <si>
    <t xml:space="preserve">Perquimans </t>
  </si>
  <si>
    <t xml:space="preserve">Person </t>
  </si>
  <si>
    <t xml:space="preserve">Polk </t>
  </si>
  <si>
    <t xml:space="preserve">Randolph </t>
  </si>
  <si>
    <t xml:space="preserve">Richmond </t>
  </si>
  <si>
    <t xml:space="preserve">Robeson </t>
  </si>
  <si>
    <t xml:space="preserve">Rockingham </t>
  </si>
  <si>
    <t xml:space="preserve">Rowan </t>
  </si>
  <si>
    <t xml:space="preserve">Rutherford </t>
  </si>
  <si>
    <t xml:space="preserve">Sampson </t>
  </si>
  <si>
    <t xml:space="preserve">Scotland </t>
  </si>
  <si>
    <t xml:space="preserve">Stanly </t>
  </si>
  <si>
    <t xml:space="preserve">Stokes </t>
  </si>
  <si>
    <t xml:space="preserve">Surry </t>
  </si>
  <si>
    <t xml:space="preserve">Swain </t>
  </si>
  <si>
    <t>Town of Canton</t>
  </si>
  <si>
    <t xml:space="preserve">Transylvania </t>
  </si>
  <si>
    <t xml:space="preserve">Tyrrell </t>
  </si>
  <si>
    <t xml:space="preserve">Union </t>
  </si>
  <si>
    <t xml:space="preserve">Warren </t>
  </si>
  <si>
    <t xml:space="preserve">Washington </t>
  </si>
  <si>
    <t xml:space="preserve">Watauga </t>
  </si>
  <si>
    <t xml:space="preserve">Wayne </t>
  </si>
  <si>
    <t xml:space="preserve">Wilkes </t>
  </si>
  <si>
    <t xml:space="preserve">Wilson </t>
  </si>
  <si>
    <t xml:space="preserve">Yadkin </t>
  </si>
  <si>
    <t xml:space="preserve">Yancey </t>
  </si>
  <si>
    <t>Wake</t>
  </si>
  <si>
    <t>Notes</t>
  </si>
  <si>
    <t>Population per Census Bureau 7/1/2019 Estimates</t>
  </si>
  <si>
    <t>Amount per capita</t>
  </si>
  <si>
    <t>Rank in amount per capita (counties only)</t>
  </si>
  <si>
    <t>New Hanover*</t>
  </si>
  <si>
    <t>Onslow*</t>
  </si>
  <si>
    <t>Durham*</t>
  </si>
  <si>
    <t>Mecklenburg*</t>
  </si>
  <si>
    <t>Cumberland*</t>
  </si>
  <si>
    <t>Guilford*</t>
  </si>
  <si>
    <t>Pitt*</t>
  </si>
  <si>
    <t>Forsyth*</t>
  </si>
  <si>
    <t>Catawba*</t>
  </si>
  <si>
    <t>Vance*</t>
  </si>
  <si>
    <t>Buncombe*</t>
  </si>
  <si>
    <t>Cabarrus*</t>
  </si>
  <si>
    <t>Haywood*</t>
  </si>
  <si>
    <t>Amounts of Chatham, Durham, Gaston, and Wake Counties reflect Cary's, Gastonia's, and Raleigh's reallocation of funds to the counties of which they are a part.</t>
  </si>
  <si>
    <t>Asterisks denotes counties where funding also going to municipalities within the county.  Those municpal funds are not included in the county's per capita calcuation.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</si>
</sst>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0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3" fontId="0" fillId="0" borderId="0" xfId="0" applyNumberFormat="1"/>
    <xf numFmtId="3" fontId="0" fillId="0" borderId="10" xfId="0" applyNumberFormat="1" applyBorder="1" applyAlignment="1" applyProtection="1">
      <alignment horizontal="right"/>
      <protection locked="0"/>
    </xf>
    <xf numFmtId="0" fontId="0" fillId="0" borderId="0" xfId="0"/>
    <xf numFmtId="3" fontId="0" fillId="0" borderId="0" xfId="0" applyNumberFormat="1" applyFill="1"/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zoomScale="130" zoomScaleNormal="130" workbookViewId="0">
      <selection activeCell="D11" sqref="D11"/>
    </sheetView>
  </sheetViews>
  <sheetFormatPr defaultColWidth="27.109375" defaultRowHeight="14.4" x14ac:dyDescent="0.3"/>
  <cols>
    <col min="2" max="2" width="19.5546875" customWidth="1"/>
    <col min="3" max="3" width="27.109375" customWidth="1"/>
    <col min="6" max="6" width="23.21875" customWidth="1"/>
  </cols>
  <sheetData>
    <row r="1" spans="1:6" x14ac:dyDescent="0.3">
      <c r="A1" t="s">
        <v>0</v>
      </c>
    </row>
    <row r="2" spans="1:6" s="3" customFormat="1" ht="28.8" x14ac:dyDescent="0.3">
      <c r="A2" s="3" t="s">
        <v>1</v>
      </c>
      <c r="B2" s="3" t="s">
        <v>2</v>
      </c>
      <c r="C2" s="3" t="s">
        <v>3</v>
      </c>
      <c r="D2" s="3" t="s">
        <v>106</v>
      </c>
      <c r="E2" s="3" t="s">
        <v>107</v>
      </c>
      <c r="F2" s="3" t="s">
        <v>108</v>
      </c>
    </row>
    <row r="3" spans="1:6" x14ac:dyDescent="0.3">
      <c r="A3" t="s">
        <v>4</v>
      </c>
      <c r="B3" s="1">
        <v>1.3780289676124871E-2</v>
      </c>
      <c r="C3" s="2">
        <v>8874733.2329214457</v>
      </c>
      <c r="D3" s="5">
        <f>169509+1042+12232+3626+15646+2326+2535+13706+591+1384+62645</f>
        <v>285242</v>
      </c>
      <c r="E3" s="2">
        <f>C3/D3</f>
        <v>31.112996097774683</v>
      </c>
      <c r="F3">
        <v>66</v>
      </c>
    </row>
    <row r="4" spans="1:6" x14ac:dyDescent="0.3">
      <c r="A4" t="s">
        <v>5</v>
      </c>
      <c r="B4" s="1">
        <v>5.1000787958051389E-3</v>
      </c>
      <c r="C4" s="2">
        <v>3284534.6392150614</v>
      </c>
      <c r="D4" s="10">
        <f>37497*2</f>
        <v>74994</v>
      </c>
      <c r="E4" s="2">
        <f>C4/D4</f>
        <v>43.79729897345203</v>
      </c>
      <c r="F4">
        <v>29</v>
      </c>
    </row>
    <row r="5" spans="1:6" x14ac:dyDescent="0.3">
      <c r="A5" t="s">
        <v>6</v>
      </c>
      <c r="B5" s="1">
        <v>1.4909059892935185E-3</v>
      </c>
      <c r="C5" s="2">
        <v>960167.98204677424</v>
      </c>
      <c r="D5" s="5">
        <f>11137*2</f>
        <v>22274</v>
      </c>
      <c r="E5" s="2">
        <f>C5/D5</f>
        <v>43.107119603428849</v>
      </c>
      <c r="F5">
        <v>30</v>
      </c>
    </row>
    <row r="6" spans="1:6" x14ac:dyDescent="0.3">
      <c r="A6" t="s">
        <v>7</v>
      </c>
      <c r="B6" s="1">
        <v>1.8219296036652234E-3</v>
      </c>
      <c r="C6" s="2">
        <v>1173352.6349380817</v>
      </c>
      <c r="D6" s="5">
        <f>24446*2</f>
        <v>48892</v>
      </c>
      <c r="E6" s="2">
        <f>C6/D6</f>
        <v>23.998867604885906</v>
      </c>
      <c r="F6">
        <v>84</v>
      </c>
    </row>
    <row r="7" spans="1:6" x14ac:dyDescent="0.3">
      <c r="A7" t="s">
        <v>8</v>
      </c>
      <c r="B7" s="1">
        <v>3.3863918832197429E-3</v>
      </c>
      <c r="C7" s="2">
        <v>2180892.0778911333</v>
      </c>
      <c r="D7" s="5">
        <f>27203*2</f>
        <v>54406</v>
      </c>
      <c r="E7" s="2">
        <f>C7/D7</f>
        <v>40.085506706817874</v>
      </c>
      <c r="F7">
        <v>38</v>
      </c>
    </row>
    <row r="8" spans="1:6" x14ac:dyDescent="0.3">
      <c r="A8" t="s">
        <v>9</v>
      </c>
      <c r="B8" s="1">
        <v>2.6599676693500563E-3</v>
      </c>
      <c r="C8" s="2">
        <v>1713062.9347057305</v>
      </c>
      <c r="D8" s="5">
        <f>17557*2</f>
        <v>35114</v>
      </c>
      <c r="E8" s="2">
        <f>C8/D8</f>
        <v>48.785753110033902</v>
      </c>
      <c r="F8">
        <v>18</v>
      </c>
    </row>
    <row r="9" spans="1:6" x14ac:dyDescent="0.3">
      <c r="A9" t="s">
        <v>10</v>
      </c>
      <c r="B9" s="1">
        <v>4.7788843488785811E-3</v>
      </c>
      <c r="C9" s="2">
        <v>3077680.1318451907</v>
      </c>
      <c r="D9" s="5">
        <f>46994*2</f>
        <v>93988</v>
      </c>
      <c r="E9" s="2">
        <f>C9/D9</f>
        <v>32.745458269621551</v>
      </c>
      <c r="F9">
        <v>60</v>
      </c>
    </row>
    <row r="10" spans="1:6" x14ac:dyDescent="0.3">
      <c r="A10" t="s">
        <v>11</v>
      </c>
      <c r="B10" s="1">
        <v>1.394685750956516E-3</v>
      </c>
      <c r="C10" s="2">
        <v>898200.5657646266</v>
      </c>
      <c r="D10" s="5">
        <f>18947*2</f>
        <v>37894</v>
      </c>
      <c r="E10" s="2">
        <f>C10/D10</f>
        <v>23.702975821096391</v>
      </c>
      <c r="F10">
        <v>85</v>
      </c>
    </row>
    <row r="11" spans="1:6" x14ac:dyDescent="0.3">
      <c r="A11" t="s">
        <v>12</v>
      </c>
      <c r="B11" s="1">
        <v>4.2921780947661713E-3</v>
      </c>
      <c r="C11" s="2">
        <v>2764233.2980296668</v>
      </c>
      <c r="D11" s="5">
        <f>32722*2</f>
        <v>65444</v>
      </c>
      <c r="E11" s="2">
        <f>C11/D11</f>
        <v>42.238147088039646</v>
      </c>
      <c r="F11">
        <v>31</v>
      </c>
    </row>
    <row r="12" spans="1:6" x14ac:dyDescent="0.3">
      <c r="A12" t="s">
        <v>13</v>
      </c>
      <c r="B12" s="1">
        <v>2.1132385075912041E-2</v>
      </c>
      <c r="C12" s="2">
        <v>13609603.610076558</v>
      </c>
      <c r="D12" s="5">
        <f>142820*2</f>
        <v>285640</v>
      </c>
      <c r="E12" s="2">
        <f>C12/D12</f>
        <v>47.646000595422763</v>
      </c>
      <c r="F12">
        <v>22</v>
      </c>
    </row>
    <row r="13" spans="1:6" x14ac:dyDescent="0.3">
      <c r="A13" t="s">
        <v>119</v>
      </c>
      <c r="B13" s="1">
        <v>2.5115878573227297E-2</v>
      </c>
      <c r="C13" s="2">
        <v>16175038.949581813</v>
      </c>
      <c r="D13" s="5">
        <f>261191+1416+8162+870+4027+6717+147129</f>
        <v>429512</v>
      </c>
      <c r="E13" s="2">
        <f>C13/D13</f>
        <v>37.659108359211878</v>
      </c>
      <c r="F13">
        <v>43</v>
      </c>
    </row>
    <row r="14" spans="1:6" x14ac:dyDescent="0.3">
      <c r="A14" t="s">
        <v>14</v>
      </c>
      <c r="B14" s="1">
        <v>2.0901968270472693E-2</v>
      </c>
      <c r="C14" s="2">
        <v>13461211.397088541</v>
      </c>
      <c r="D14" s="5">
        <f>(90485*2)-69</f>
        <v>180901</v>
      </c>
      <c r="E14" s="2">
        <f>C14/D14</f>
        <v>74.412034190460759</v>
      </c>
      <c r="F14">
        <v>3</v>
      </c>
    </row>
    <row r="15" spans="1:6" x14ac:dyDescent="0.3">
      <c r="A15" t="s">
        <v>120</v>
      </c>
      <c r="B15" s="1">
        <v>1.6695734466259961E-2</v>
      </c>
      <c r="C15" s="2">
        <v>10752327.635932252</v>
      </c>
      <c r="D15" s="5">
        <f>216453+16576+290+3805+2222+57002</f>
        <v>296348</v>
      </c>
      <c r="E15" s="2">
        <f>C15/D15</f>
        <v>36.282774427133816</v>
      </c>
      <c r="F15">
        <v>50</v>
      </c>
    </row>
    <row r="16" spans="1:6" x14ac:dyDescent="0.3">
      <c r="A16" t="s">
        <v>15</v>
      </c>
      <c r="B16" s="1">
        <v>1.27630114619465E-2</v>
      </c>
      <c r="C16" s="2">
        <v>8219589.3290790301</v>
      </c>
      <c r="D16" s="5">
        <f>(82178*2)-14</f>
        <v>164342</v>
      </c>
      <c r="E16" s="2">
        <f>C16/D16</f>
        <v>50.015147248293374</v>
      </c>
      <c r="F16">
        <v>16</v>
      </c>
    </row>
    <row r="17" spans="1:6" x14ac:dyDescent="0.3">
      <c r="A17" t="s">
        <v>16</v>
      </c>
      <c r="B17" s="1">
        <v>7.3036400412662564E-4</v>
      </c>
      <c r="C17" s="2">
        <v>470366.43291920051</v>
      </c>
      <c r="D17" s="5">
        <f>10867*2</f>
        <v>21734</v>
      </c>
      <c r="E17" s="2">
        <f>C17/D17</f>
        <v>21.641963417649787</v>
      </c>
      <c r="F17">
        <v>91</v>
      </c>
    </row>
    <row r="18" spans="1:6" x14ac:dyDescent="0.3">
      <c r="A18" t="s">
        <v>17</v>
      </c>
      <c r="B18" s="1">
        <v>1.1284655938523026E-2</v>
      </c>
      <c r="C18" s="2">
        <v>7267504.0535038467</v>
      </c>
      <c r="D18" s="5">
        <f>69473*2</f>
        <v>138946</v>
      </c>
      <c r="E18" s="2">
        <f>C18/D18</f>
        <v>52.304521565959774</v>
      </c>
      <c r="F18">
        <v>15</v>
      </c>
    </row>
    <row r="19" spans="1:6" x14ac:dyDescent="0.3">
      <c r="A19" t="s">
        <v>18</v>
      </c>
      <c r="B19" s="1">
        <v>1.7292023752467447E-3</v>
      </c>
      <c r="C19" s="2">
        <v>1113634.7745023938</v>
      </c>
      <c r="D19" s="8">
        <f>22604*2</f>
        <v>45208</v>
      </c>
      <c r="E19" s="2">
        <f>C19/D19</f>
        <v>24.63357756375849</v>
      </c>
      <c r="F19">
        <v>83</v>
      </c>
    </row>
    <row r="20" spans="1:6" x14ac:dyDescent="0.3">
      <c r="A20" t="s">
        <v>117</v>
      </c>
      <c r="B20" s="1">
        <v>2.0726952226996904E-2</v>
      </c>
      <c r="C20" s="2">
        <v>13348498.186130418</v>
      </c>
      <c r="D20" s="8">
        <f>159551+380+624+1408+8540+4205+3441+13177+86688</f>
        <v>278014</v>
      </c>
      <c r="E20" s="2">
        <f>C20/D20</f>
        <v>48.013762566383051</v>
      </c>
      <c r="F20">
        <v>21</v>
      </c>
    </row>
    <row r="21" spans="1:6" x14ac:dyDescent="0.3">
      <c r="A21" t="s">
        <v>19</v>
      </c>
      <c r="B21" s="1">
        <v>4.5152027164244574E-3</v>
      </c>
      <c r="C21" s="2">
        <v>2907864.823063551</v>
      </c>
      <c r="D21" s="8">
        <f>74470+301+4368+8225+59323</f>
        <v>146687</v>
      </c>
      <c r="E21" s="2">
        <f>C21/D21</f>
        <v>19.823602794136843</v>
      </c>
      <c r="F21">
        <v>95</v>
      </c>
    </row>
    <row r="22" spans="1:6" x14ac:dyDescent="0.3">
      <c r="A22" t="s">
        <v>20</v>
      </c>
      <c r="B22" s="1">
        <v>7.8275915290447837E-3</v>
      </c>
      <c r="C22" s="2">
        <v>5041097.7061610678</v>
      </c>
      <c r="D22" s="8">
        <f>28612*2</f>
        <v>57224</v>
      </c>
      <c r="E22" s="2">
        <f>C22/D22</f>
        <v>88.094116212796521</v>
      </c>
      <c r="F22">
        <v>2</v>
      </c>
    </row>
    <row r="23" spans="1:6" x14ac:dyDescent="0.3">
      <c r="A23" t="s">
        <v>21</v>
      </c>
      <c r="B23" s="1">
        <v>1.1370559612682064E-3</v>
      </c>
      <c r="C23" s="2">
        <v>732282.74327510968</v>
      </c>
      <c r="D23" s="8">
        <f>13943*2</f>
        <v>27886</v>
      </c>
      <c r="E23" s="2">
        <f>C23/D23</f>
        <v>26.259870303202671</v>
      </c>
      <c r="F23">
        <v>82</v>
      </c>
    </row>
    <row r="24" spans="1:6" x14ac:dyDescent="0.3">
      <c r="A24" t="s">
        <v>22</v>
      </c>
      <c r="B24" s="1">
        <v>2.3581472425529839E-3</v>
      </c>
      <c r="C24" s="2">
        <v>1518685.6149958773</v>
      </c>
      <c r="D24" s="8">
        <v>92870</v>
      </c>
      <c r="E24" s="2">
        <f>C24/D24</f>
        <v>16.352811618346909</v>
      </c>
    </row>
    <row r="25" spans="1:6" x14ac:dyDescent="0.3">
      <c r="A25" t="s">
        <v>23</v>
      </c>
      <c r="B25" s="1">
        <v>1.247483814366831E-2</v>
      </c>
      <c r="C25" s="2">
        <v>8034000.971746048</v>
      </c>
      <c r="D25" s="8">
        <v>885708</v>
      </c>
      <c r="E25" s="2">
        <f>C25/D25</f>
        <v>9.0707106312080814</v>
      </c>
    </row>
    <row r="26" spans="1:6" x14ac:dyDescent="0.3">
      <c r="A26" t="s">
        <v>24</v>
      </c>
      <c r="B26" s="1">
        <v>2.2745587028748285E-3</v>
      </c>
      <c r="C26" s="2">
        <v>1464853.2204375577</v>
      </c>
      <c r="D26" s="8">
        <v>96341</v>
      </c>
      <c r="E26" s="2">
        <f>C26/D26</f>
        <v>15.204878716616577</v>
      </c>
    </row>
    <row r="27" spans="1:6" x14ac:dyDescent="0.3">
      <c r="A27" t="s">
        <v>25</v>
      </c>
      <c r="B27" s="1">
        <v>3.8040502668497114E-3</v>
      </c>
      <c r="C27" s="2">
        <v>2449870.9472998832</v>
      </c>
      <c r="D27" s="8">
        <f>278940+32+21</f>
        <v>278993</v>
      </c>
      <c r="E27" s="2">
        <f>C27/D27</f>
        <v>8.7811197675206305</v>
      </c>
    </row>
    <row r="28" spans="1:6" x14ac:dyDescent="0.3">
      <c r="A28" t="s">
        <v>26</v>
      </c>
      <c r="B28" s="1">
        <v>3.0976905518143344E-3</v>
      </c>
      <c r="C28" s="2">
        <v>1994963.671418567</v>
      </c>
      <c r="D28" s="8">
        <v>211657</v>
      </c>
      <c r="E28" s="2">
        <f>C28/D28</f>
        <v>9.4254556731814532</v>
      </c>
    </row>
    <row r="29" spans="1:6" x14ac:dyDescent="0.3">
      <c r="A29" t="s">
        <v>27</v>
      </c>
      <c r="B29" s="1">
        <v>5.2739169638432856E-3</v>
      </c>
      <c r="C29" s="2">
        <v>3396489.2790156524</v>
      </c>
      <c r="D29" s="8">
        <v>296710</v>
      </c>
      <c r="E29" s="2">
        <f>C29/D29</f>
        <v>11.447168208067312</v>
      </c>
    </row>
    <row r="30" spans="1:6" x14ac:dyDescent="0.3">
      <c r="A30" t="s">
        <v>28</v>
      </c>
      <c r="B30" s="1">
        <v>1.6265647465943153E-3</v>
      </c>
      <c r="C30" s="2">
        <v>1047534.4532930276</v>
      </c>
      <c r="D30" s="8">
        <v>93400</v>
      </c>
      <c r="E30" s="2">
        <f>C30/D30</f>
        <v>11.215572305064535</v>
      </c>
    </row>
    <row r="31" spans="1:6" x14ac:dyDescent="0.3">
      <c r="A31" t="s">
        <v>29</v>
      </c>
      <c r="B31" s="1">
        <v>3.2253478794180482E-4</v>
      </c>
      <c r="C31" s="2">
        <v>207717.70903188587</v>
      </c>
      <c r="D31" s="9">
        <v>14911</v>
      </c>
      <c r="E31" s="2">
        <f>C31/D31</f>
        <v>13.930501578156118</v>
      </c>
    </row>
    <row r="32" spans="1:6" x14ac:dyDescent="0.3">
      <c r="A32" t="s">
        <v>30</v>
      </c>
      <c r="B32" s="1">
        <v>9.4875835682314814E-4</v>
      </c>
      <c r="C32" s="2">
        <v>611015.98857522011</v>
      </c>
      <c r="D32" s="8">
        <f>41088+69+14</f>
        <v>41171</v>
      </c>
      <c r="E32" s="2">
        <f>C32/D32</f>
        <v>14.840931446290353</v>
      </c>
    </row>
    <row r="33" spans="1:6" x14ac:dyDescent="0.3">
      <c r="A33" t="s">
        <v>31</v>
      </c>
      <c r="B33" s="1">
        <v>2.0642876290585931E-3</v>
      </c>
      <c r="C33" s="2">
        <v>1329435.190005864</v>
      </c>
      <c r="D33" s="8">
        <f>107191+5495+96+9</f>
        <v>112791</v>
      </c>
      <c r="E33" s="2">
        <f>C33/D33</f>
        <v>11.786713390304758</v>
      </c>
    </row>
    <row r="34" spans="1:6" x14ac:dyDescent="0.3">
      <c r="A34" t="s">
        <v>32</v>
      </c>
      <c r="B34" s="1">
        <v>9.5009869783839549E-4</v>
      </c>
      <c r="C34" s="2">
        <v>611879.19023723376</v>
      </c>
      <c r="D34" s="8">
        <v>72436</v>
      </c>
      <c r="E34" s="2">
        <f>C34/D34</f>
        <v>8.4471697807338035</v>
      </c>
    </row>
    <row r="35" spans="1:6" x14ac:dyDescent="0.3">
      <c r="A35" t="s">
        <v>33</v>
      </c>
      <c r="B35" s="1">
        <v>1.1949749396846542E-3</v>
      </c>
      <c r="C35" s="2">
        <v>769583.5181245578</v>
      </c>
      <c r="D35" s="8">
        <v>123744</v>
      </c>
      <c r="E35" s="2">
        <f>C35/D35</f>
        <v>6.2191582470629507</v>
      </c>
    </row>
    <row r="36" spans="1:6" x14ac:dyDescent="0.3">
      <c r="A36" t="s">
        <v>34</v>
      </c>
      <c r="B36" s="1">
        <v>4.9445992380364413E-3</v>
      </c>
      <c r="C36" s="2">
        <v>3184403.2464214517</v>
      </c>
      <c r="D36" s="8">
        <v>247945</v>
      </c>
      <c r="E36" s="2">
        <f>C36/D36</f>
        <v>12.843183957819079</v>
      </c>
    </row>
    <row r="37" spans="1:6" x14ac:dyDescent="0.3">
      <c r="A37" t="s">
        <v>35</v>
      </c>
      <c r="B37" s="1">
        <v>2.2442994890457583E-3</v>
      </c>
      <c r="C37" s="2">
        <v>1445365.7889769401</v>
      </c>
      <c r="D37" s="8">
        <f>11231*2</f>
        <v>22462</v>
      </c>
      <c r="E37" s="2">
        <f>C37/D37</f>
        <v>64.34715470469861</v>
      </c>
      <c r="F37">
        <v>8</v>
      </c>
    </row>
    <row r="38" spans="1:6" x14ac:dyDescent="0.3">
      <c r="A38" t="s">
        <v>36</v>
      </c>
      <c r="B38" s="1">
        <v>1.1199280277491206E-2</v>
      </c>
      <c r="C38" s="2">
        <v>7212520.7233961727</v>
      </c>
      <c r="D38" s="8">
        <f>97947*2</f>
        <v>195894</v>
      </c>
      <c r="E38" s="2">
        <f>C38/D38</f>
        <v>36.818487158341618</v>
      </c>
      <c r="F38">
        <v>48</v>
      </c>
    </row>
    <row r="39" spans="1:6" x14ac:dyDescent="0.3">
      <c r="A39" t="s">
        <v>37</v>
      </c>
      <c r="B39" s="1">
        <v>1.2209369389860524E-2</v>
      </c>
      <c r="C39" s="2">
        <v>7863034.727415056</v>
      </c>
      <c r="D39" s="8">
        <f>55508*2</f>
        <v>111016</v>
      </c>
      <c r="E39" s="2">
        <f>C39/D39</f>
        <v>70.827941264457877</v>
      </c>
      <c r="F39">
        <v>4</v>
      </c>
    </row>
    <row r="40" spans="1:6" x14ac:dyDescent="0.3">
      <c r="A40" t="s">
        <v>38</v>
      </c>
      <c r="B40" s="1">
        <v>1.3368601902471914E-2</v>
      </c>
      <c r="C40" s="2">
        <v>8609599.534552576</v>
      </c>
      <c r="D40" s="8">
        <f>102139+441+388+386+19854+3026+4021+965+43064</f>
        <v>174284</v>
      </c>
      <c r="E40" s="2">
        <f>C40/D40</f>
        <v>49.399827491637652</v>
      </c>
      <c r="F40">
        <v>17</v>
      </c>
    </row>
    <row r="41" spans="1:6" x14ac:dyDescent="0.3">
      <c r="A41" t="s">
        <v>113</v>
      </c>
      <c r="B41" s="1">
        <v>2.6372996596346149E-2</v>
      </c>
      <c r="C41" s="2">
        <v>16984643.635672472</v>
      </c>
      <c r="D41" s="8">
        <f>335509+3762+270+143+15849+133+12005+1076+583+90031</f>
        <v>459361</v>
      </c>
      <c r="E41" s="2">
        <f>C41/D41</f>
        <v>36.974500742711008</v>
      </c>
      <c r="F41">
        <v>47</v>
      </c>
    </row>
    <row r="42" spans="1:6" x14ac:dyDescent="0.3">
      <c r="A42" t="s">
        <v>39</v>
      </c>
      <c r="B42" s="1">
        <v>1.8677855129444448E-3</v>
      </c>
      <c r="C42" s="2">
        <v>1202884.594829405</v>
      </c>
      <c r="D42" s="8">
        <f>27763*2</f>
        <v>55526</v>
      </c>
      <c r="E42" s="2">
        <f>C42/D42</f>
        <v>21.663447661084987</v>
      </c>
      <c r="F42">
        <v>90</v>
      </c>
    </row>
    <row r="43" spans="1:6" x14ac:dyDescent="0.3">
      <c r="A43" t="s">
        <v>40</v>
      </c>
      <c r="B43" s="1">
        <v>5.3312673127381138E-3</v>
      </c>
      <c r="C43" s="2">
        <v>3433423.8470993959</v>
      </c>
      <c r="D43" s="8">
        <f>37009*2</f>
        <v>74018</v>
      </c>
      <c r="E43" s="2">
        <f>C43/D43</f>
        <v>46.386336392490961</v>
      </c>
      <c r="F43">
        <v>24</v>
      </c>
    </row>
    <row r="44" spans="1:6" x14ac:dyDescent="0.3">
      <c r="A44" t="s">
        <v>41</v>
      </c>
      <c r="B44" s="1">
        <v>1.9402695303932481E-2</v>
      </c>
      <c r="C44" s="2">
        <v>12495654.944060709</v>
      </c>
      <c r="D44" s="5">
        <f>167609+1680+18933+4912+3107+107110</f>
        <v>303351</v>
      </c>
      <c r="E44" s="2">
        <f>C44/D44</f>
        <v>41.192067750100406</v>
      </c>
      <c r="F44">
        <v>37</v>
      </c>
    </row>
    <row r="45" spans="1:6" x14ac:dyDescent="0.3">
      <c r="A45" t="s">
        <v>42</v>
      </c>
      <c r="B45" s="1">
        <v>5.1314752686774491E-3</v>
      </c>
      <c r="C45" s="2">
        <v>3304754.4842070835</v>
      </c>
      <c r="D45" s="5">
        <f>42846*2</f>
        <v>85692</v>
      </c>
      <c r="E45" s="2">
        <f>C45/D45</f>
        <v>38.565496011378933</v>
      </c>
      <c r="F45">
        <v>40</v>
      </c>
    </row>
    <row r="46" spans="1:6" x14ac:dyDescent="0.3">
      <c r="A46" t="s">
        <v>43</v>
      </c>
      <c r="B46" s="1">
        <v>3.8278514739689528E-3</v>
      </c>
      <c r="C46" s="2">
        <v>2465199.3162071593</v>
      </c>
      <c r="D46" s="5">
        <f>58741*2</f>
        <v>117482</v>
      </c>
      <c r="E46" s="2">
        <f>C46/D46</f>
        <v>20.983634226580747</v>
      </c>
      <c r="F46">
        <v>92</v>
      </c>
    </row>
    <row r="47" spans="1:6" x14ac:dyDescent="0.3">
      <c r="A47" t="s">
        <v>111</v>
      </c>
      <c r="B47" s="1">
        <v>1.799602771662754E-2</v>
      </c>
      <c r="C47" s="2">
        <v>11589737.878590195</v>
      </c>
      <c r="D47" s="5">
        <f>321488+38205</f>
        <v>359693</v>
      </c>
      <c r="E47" s="2">
        <f>C47/D47</f>
        <v>32.221193847503827</v>
      </c>
      <c r="F47">
        <v>63</v>
      </c>
    </row>
    <row r="48" spans="1:6" x14ac:dyDescent="0.3">
      <c r="A48" t="s">
        <v>44</v>
      </c>
      <c r="B48" s="1">
        <v>4.1710193902666877E-3</v>
      </c>
      <c r="C48" s="2">
        <v>2686205.0993088358</v>
      </c>
      <c r="D48" s="5">
        <f>51472+266+55+426+1235+1926+192+75+10715+363+20706</f>
        <v>87431</v>
      </c>
      <c r="E48" s="2">
        <f>C48/D48</f>
        <v>30.723714692830185</v>
      </c>
      <c r="F48">
        <v>68</v>
      </c>
    </row>
    <row r="49" spans="1:6" x14ac:dyDescent="0.3">
      <c r="A49" t="s">
        <v>116</v>
      </c>
      <c r="B49" s="1">
        <v>3.0684508094847403E-2</v>
      </c>
      <c r="C49" s="2">
        <v>19761327.963736031</v>
      </c>
      <c r="D49" s="5">
        <f>382295+364+20867+657+14228+3264+2718+5242+62317+24597</f>
        <v>516549</v>
      </c>
      <c r="E49" s="2">
        <f>C49/D49</f>
        <v>38.256444139347927</v>
      </c>
      <c r="F49">
        <v>41</v>
      </c>
    </row>
    <row r="50" spans="1:6" x14ac:dyDescent="0.3">
      <c r="A50" t="s">
        <v>45</v>
      </c>
      <c r="B50" s="1">
        <v>5.0050364329057781E-3</v>
      </c>
      <c r="C50" s="2">
        <v>3223325.7940904433</v>
      </c>
      <c r="D50" s="5">
        <f>69685*2-1311</f>
        <v>138059</v>
      </c>
      <c r="E50" s="2">
        <f>C50/D50</f>
        <v>23.34745140911091</v>
      </c>
      <c r="F50">
        <v>88</v>
      </c>
    </row>
    <row r="51" spans="1:6" x14ac:dyDescent="0.3">
      <c r="A51" t="s">
        <v>46</v>
      </c>
      <c r="B51" s="1">
        <v>3.3559377106975458E-2</v>
      </c>
      <c r="C51" s="2">
        <v>21612790.898251336</v>
      </c>
      <c r="D51" s="5">
        <f>(224529*2)-77273</f>
        <v>371785</v>
      </c>
      <c r="E51" s="2">
        <f>C51/D51</f>
        <v>58.132498347839039</v>
      </c>
      <c r="F51">
        <v>12</v>
      </c>
    </row>
    <row r="52" spans="1:6" x14ac:dyDescent="0.3">
      <c r="A52" t="s">
        <v>47</v>
      </c>
      <c r="B52" s="1">
        <v>7.9567516632413505E-4</v>
      </c>
      <c r="C52" s="2">
        <v>512427.8957227862</v>
      </c>
      <c r="D52" s="5">
        <f>11562*2</f>
        <v>23124</v>
      </c>
      <c r="E52" s="2">
        <f>C52/D52</f>
        <v>22.160002409738201</v>
      </c>
      <c r="F52">
        <v>89</v>
      </c>
    </row>
    <row r="53" spans="1:6" x14ac:dyDescent="0.3">
      <c r="A53" t="s">
        <v>48</v>
      </c>
      <c r="B53" s="1">
        <v>1.83484561708488E-3</v>
      </c>
      <c r="C53" s="2">
        <v>1181670.7600447608</v>
      </c>
      <c r="D53" s="5">
        <f>8441*2</f>
        <v>16882</v>
      </c>
      <c r="E53" s="2">
        <f>C53/D53</f>
        <v>69.995898592865814</v>
      </c>
      <c r="F53">
        <v>5</v>
      </c>
    </row>
    <row r="54" spans="1:6" x14ac:dyDescent="0.3">
      <c r="A54" t="s">
        <v>49</v>
      </c>
      <c r="B54" s="1">
        <v>5.9010340934014605E-3</v>
      </c>
      <c r="C54" s="2">
        <v>3800363.0263336613</v>
      </c>
      <c r="D54" s="5">
        <f>60443*2</f>
        <v>120886</v>
      </c>
      <c r="E54" s="2">
        <f>C54/D54</f>
        <v>31.437577770243546</v>
      </c>
      <c r="F54">
        <v>64</v>
      </c>
    </row>
    <row r="55" spans="1:6" x14ac:dyDescent="0.3">
      <c r="A55" t="s">
        <v>50</v>
      </c>
      <c r="B55" s="1">
        <v>1.23274818647799E-3</v>
      </c>
      <c r="C55" s="2">
        <v>793910.11041767627</v>
      </c>
      <c r="D55" s="5">
        <f>21069*2</f>
        <v>42138</v>
      </c>
      <c r="E55" s="2">
        <f>C55/D55</f>
        <v>18.840716465367986</v>
      </c>
      <c r="F55">
        <v>98</v>
      </c>
    </row>
    <row r="56" spans="1:6" x14ac:dyDescent="0.3">
      <c r="A56" t="s">
        <v>114</v>
      </c>
      <c r="B56" s="1">
        <v>3.3750152311479008E-2</v>
      </c>
      <c r="C56" s="2">
        <v>21735653.26814463</v>
      </c>
      <c r="D56" s="5">
        <f>537174+339+3713+4487+63+7049+4932+684+5489+11376+639+93672</f>
        <v>669617</v>
      </c>
      <c r="E56" s="2">
        <f>C56/D56</f>
        <v>32.459828929290367</v>
      </c>
      <c r="F56">
        <v>62</v>
      </c>
    </row>
    <row r="57" spans="1:6" x14ac:dyDescent="0.3">
      <c r="A57" t="s">
        <v>51</v>
      </c>
      <c r="B57" s="1">
        <v>4.5316117397626379E-3</v>
      </c>
      <c r="C57" s="2">
        <v>2918432.5040166909</v>
      </c>
      <c r="D57" s="5">
        <f>50010*2</f>
        <v>100020</v>
      </c>
      <c r="E57" s="2">
        <f>C57/D57</f>
        <v>29.178489342298448</v>
      </c>
      <c r="F57">
        <v>74</v>
      </c>
    </row>
    <row r="58" spans="1:6" x14ac:dyDescent="0.3">
      <c r="A58" t="s">
        <v>52</v>
      </c>
      <c r="B58" s="1">
        <v>9.8898077219889031E-3</v>
      </c>
      <c r="C58" s="2">
        <v>6369198.8572347322</v>
      </c>
      <c r="D58" s="5">
        <f>135976*2</f>
        <v>271952</v>
      </c>
      <c r="E58" s="2">
        <f>C58/D58</f>
        <v>23.420305264291979</v>
      </c>
      <c r="F58">
        <v>86</v>
      </c>
    </row>
    <row r="59" spans="1:6" x14ac:dyDescent="0.3">
      <c r="A59" t="s">
        <v>121</v>
      </c>
      <c r="B59" s="1">
        <v>8.0331511011104521E-3</v>
      </c>
      <c r="C59" s="2">
        <v>5173481.4519626526</v>
      </c>
      <c r="D59" s="5">
        <f>62317*2</f>
        <v>124634</v>
      </c>
      <c r="E59" s="2">
        <f>C59/D59</f>
        <v>41.509391112879733</v>
      </c>
      <c r="F59">
        <v>34</v>
      </c>
    </row>
    <row r="60" spans="1:6" x14ac:dyDescent="0.3">
      <c r="A60" t="s">
        <v>53</v>
      </c>
      <c r="B60" s="1">
        <v>1.3815950870409332E-2</v>
      </c>
      <c r="C60" s="2">
        <v>8897699.6286562402</v>
      </c>
      <c r="D60" s="5">
        <f>117417*2</f>
        <v>234834</v>
      </c>
      <c r="E60" s="2">
        <f>C60/D60</f>
        <v>37.889315979186321</v>
      </c>
      <c r="F60">
        <v>42</v>
      </c>
    </row>
    <row r="61" spans="1:6" x14ac:dyDescent="0.3">
      <c r="A61" t="s">
        <v>54</v>
      </c>
      <c r="B61" s="1">
        <v>2.0684305012875397E-3</v>
      </c>
      <c r="C61" s="2">
        <v>1332103.2678702704</v>
      </c>
      <c r="D61" s="5">
        <f>23677*2</f>
        <v>47354</v>
      </c>
      <c r="E61" s="2">
        <f>C61/D61</f>
        <v>28.130744348318419</v>
      </c>
      <c r="F61">
        <v>76</v>
      </c>
    </row>
    <row r="62" spans="1:6" x14ac:dyDescent="0.3">
      <c r="A62" t="s">
        <v>55</v>
      </c>
      <c r="B62" s="1">
        <v>3.3248580457015671E-3</v>
      </c>
      <c r="C62" s="2">
        <v>2141263.2743168594</v>
      </c>
      <c r="D62" s="5">
        <f>55234*2</f>
        <v>110468</v>
      </c>
      <c r="E62" s="2">
        <f>C62/D62</f>
        <v>19.38356152294655</v>
      </c>
      <c r="F62">
        <v>96</v>
      </c>
    </row>
    <row r="63" spans="1:6" x14ac:dyDescent="0.3">
      <c r="A63" t="s">
        <v>56</v>
      </c>
      <c r="B63" s="1">
        <v>2.7237354085603115E-4</v>
      </c>
      <c r="C63" s="2">
        <v>175413.04077166945</v>
      </c>
      <c r="D63" s="5">
        <f>4937*2</f>
        <v>9874</v>
      </c>
      <c r="E63" s="2">
        <f>C63/D63</f>
        <v>17.765144902944041</v>
      </c>
      <c r="F63">
        <v>99</v>
      </c>
    </row>
    <row r="64" spans="1:6" x14ac:dyDescent="0.3">
      <c r="A64" t="s">
        <v>57</v>
      </c>
      <c r="B64" s="1">
        <v>2.1159313745400192E-2</v>
      </c>
      <c r="C64" s="2">
        <v>13626946.116195204</v>
      </c>
      <c r="D64" s="5">
        <f>181806+342+595+112+2769+111328</f>
        <v>296952</v>
      </c>
      <c r="E64" s="2">
        <f>C64/D64</f>
        <v>45.889389922260847</v>
      </c>
      <c r="F64">
        <v>25</v>
      </c>
    </row>
    <row r="65" spans="1:6" x14ac:dyDescent="0.3">
      <c r="A65" t="s">
        <v>58</v>
      </c>
      <c r="B65" s="1">
        <v>5.0775773133067432E-3</v>
      </c>
      <c r="C65" s="2">
        <v>3270043.3143436792</v>
      </c>
      <c r="D65" s="5">
        <f>43938*2</f>
        <v>87876</v>
      </c>
      <c r="E65" s="2">
        <f>C65/D65</f>
        <v>37.212018234144466</v>
      </c>
      <c r="F65">
        <v>45</v>
      </c>
    </row>
    <row r="66" spans="1:6" x14ac:dyDescent="0.3">
      <c r="A66" t="s">
        <v>59</v>
      </c>
      <c r="B66" s="1">
        <v>1.2508874682176714E-2</v>
      </c>
      <c r="C66" s="2">
        <v>8055921.0624359734</v>
      </c>
      <c r="D66" s="5">
        <f>209339*2</f>
        <v>418678</v>
      </c>
      <c r="E66" s="2">
        <f>C66/D66</f>
        <v>19.241328807427124</v>
      </c>
      <c r="F66">
        <v>97</v>
      </c>
    </row>
    <row r="67" spans="1:6" x14ac:dyDescent="0.3">
      <c r="A67" t="s">
        <v>60</v>
      </c>
      <c r="B67" s="1">
        <v>8.7966986994630512E-4</v>
      </c>
      <c r="C67" s="2">
        <v>566521.86654232291</v>
      </c>
      <c r="D67" s="5">
        <f>9419*2</f>
        <v>18838</v>
      </c>
      <c r="E67" s="2">
        <f>C67/D67</f>
        <v>30.073355268198476</v>
      </c>
      <c r="F67">
        <v>71</v>
      </c>
    </row>
    <row r="68" spans="1:6" x14ac:dyDescent="0.3">
      <c r="A68" t="s">
        <v>61</v>
      </c>
      <c r="B68" s="1">
        <v>6.531156836145342E-3</v>
      </c>
      <c r="C68" s="2">
        <v>4206172.4379846714</v>
      </c>
      <c r="D68" s="5">
        <f>61779+1282+30412</f>
        <v>93473</v>
      </c>
      <c r="E68" s="2">
        <f>C68/D68</f>
        <v>44.998795780435756</v>
      </c>
      <c r="F68">
        <v>26</v>
      </c>
    </row>
    <row r="69" spans="1:6" x14ac:dyDescent="0.3">
      <c r="A69" t="s">
        <v>62</v>
      </c>
      <c r="B69" s="1">
        <v>6.0428259262568741E-3</v>
      </c>
      <c r="C69" s="2">
        <v>3891679.2991242809</v>
      </c>
      <c r="D69" s="5">
        <f>55949*2</f>
        <v>111898</v>
      </c>
      <c r="E69" s="2">
        <f>C69/D69</f>
        <v>34.778810158575496</v>
      </c>
      <c r="F69">
        <v>53</v>
      </c>
    </row>
    <row r="70" spans="1:6" x14ac:dyDescent="0.3">
      <c r="A70" t="s">
        <v>63</v>
      </c>
      <c r="B70" s="1">
        <v>9.2683362712525277E-3</v>
      </c>
      <c r="C70" s="2">
        <v>5968961.0199476276</v>
      </c>
      <c r="D70" s="5">
        <f>86111*2</f>
        <v>172222</v>
      </c>
      <c r="E70" s="2">
        <f>C70/D70</f>
        <v>34.658528062312755</v>
      </c>
      <c r="F70">
        <v>54</v>
      </c>
    </row>
    <row r="71" spans="1:6" x14ac:dyDescent="0.3">
      <c r="A71" t="s">
        <v>64</v>
      </c>
      <c r="B71" s="1">
        <v>4.6676766610074492E-3</v>
      </c>
      <c r="C71" s="2">
        <v>3006060.5515241604</v>
      </c>
      <c r="D71" s="5">
        <f>35858*2</f>
        <v>71716</v>
      </c>
      <c r="E71" s="2">
        <f>C71/D71</f>
        <v>41.916177024989686</v>
      </c>
      <c r="F71">
        <v>32</v>
      </c>
    </row>
    <row r="72" spans="1:6" x14ac:dyDescent="0.3">
      <c r="A72" t="s">
        <v>65</v>
      </c>
      <c r="B72" s="1">
        <v>2.3777649610488777E-3</v>
      </c>
      <c r="C72" s="2">
        <v>1531319.7484126263</v>
      </c>
      <c r="D72" s="5">
        <f>21755*2</f>
        <v>43510</v>
      </c>
      <c r="E72" s="2">
        <f>C72/D72</f>
        <v>35.194662110149999</v>
      </c>
      <c r="F72">
        <v>52</v>
      </c>
    </row>
    <row r="73" spans="1:6" x14ac:dyDescent="0.3">
      <c r="A73" t="s">
        <v>66</v>
      </c>
      <c r="B73" s="1">
        <v>2.3288222057951473E-3</v>
      </c>
      <c r="C73" s="2">
        <v>1499799.8089360583</v>
      </c>
      <c r="D73" s="5">
        <f>22440*2</f>
        <v>44880</v>
      </c>
      <c r="E73" s="2">
        <f>C73/D73</f>
        <v>33.41799930784444</v>
      </c>
      <c r="F73">
        <v>56</v>
      </c>
    </row>
    <row r="74" spans="1:6" x14ac:dyDescent="0.3">
      <c r="A74" t="s">
        <v>67</v>
      </c>
      <c r="B74" s="1">
        <v>5.8754457649285554E-3</v>
      </c>
      <c r="C74" s="2">
        <v>3783883.7218770343</v>
      </c>
      <c r="D74" s="5">
        <f>45756*2</f>
        <v>91512</v>
      </c>
      <c r="E74" s="2">
        <f>C74/D74</f>
        <v>41.348497703875275</v>
      </c>
      <c r="F74">
        <v>36</v>
      </c>
    </row>
    <row r="75" spans="1:6" x14ac:dyDescent="0.3">
      <c r="A75" t="s">
        <v>112</v>
      </c>
      <c r="B75" s="1">
        <v>5.0383012599205544E-2</v>
      </c>
      <c r="C75" s="2">
        <v>32447488.89884061</v>
      </c>
      <c r="D75" s="5">
        <f>1110356+12712+9028+53314+479+7</f>
        <v>1185896</v>
      </c>
      <c r="E75" s="2">
        <f>C75/D75</f>
        <v>27.361158903344485</v>
      </c>
      <c r="F75">
        <v>77</v>
      </c>
    </row>
    <row r="76" spans="1:6" x14ac:dyDescent="0.3">
      <c r="A76" t="s">
        <v>68</v>
      </c>
      <c r="B76" s="1">
        <v>3.0931415156413736E-3</v>
      </c>
      <c r="C76" s="2">
        <v>1992034.0172929452</v>
      </c>
      <c r="D76" s="5">
        <f>14964*2</f>
        <v>29928</v>
      </c>
      <c r="E76" s="2">
        <f>C76/D76</f>
        <v>66.560880021817198</v>
      </c>
      <c r="F76">
        <v>7</v>
      </c>
    </row>
    <row r="77" spans="1:6" x14ac:dyDescent="0.3">
      <c r="A77" t="s">
        <v>69</v>
      </c>
      <c r="B77" s="1">
        <v>2.2605054304119317E-3</v>
      </c>
      <c r="C77" s="2">
        <v>1455802.681799473</v>
      </c>
      <c r="D77" s="5">
        <f>27173*2</f>
        <v>54346</v>
      </c>
      <c r="E77" s="2">
        <f>C77/D77</f>
        <v>26.787669410802508</v>
      </c>
      <c r="F77">
        <v>79</v>
      </c>
    </row>
    <row r="78" spans="1:6" x14ac:dyDescent="0.3">
      <c r="A78" t="s">
        <v>70</v>
      </c>
      <c r="B78" s="1">
        <v>9.7173911277548073E-3</v>
      </c>
      <c r="C78" s="2">
        <v>6258159.7343484005</v>
      </c>
      <c r="D78" s="5">
        <f>100880*2</f>
        <v>201760</v>
      </c>
      <c r="E78" s="2">
        <f>C78/D78</f>
        <v>31.017841665089218</v>
      </c>
      <c r="F78">
        <v>67</v>
      </c>
    </row>
    <row r="79" spans="1:6" x14ac:dyDescent="0.3">
      <c r="A79" t="s">
        <v>71</v>
      </c>
      <c r="B79" s="1">
        <v>8.4565363963510238E-3</v>
      </c>
      <c r="C79" s="2">
        <v>5446148.5466545522</v>
      </c>
      <c r="D79" s="5">
        <f>(94298*2)-38409</f>
        <v>150187</v>
      </c>
      <c r="E79" s="2">
        <f>C79/D79</f>
        <v>36.262449790291782</v>
      </c>
      <c r="F79">
        <v>51</v>
      </c>
    </row>
    <row r="80" spans="1:6" x14ac:dyDescent="0.3">
      <c r="A80" t="s">
        <v>109</v>
      </c>
      <c r="B80" s="1">
        <v>2.8972648920010072E-2</v>
      </c>
      <c r="C80" s="2">
        <v>18658862.49558758</v>
      </c>
      <c r="D80" s="5">
        <f>234473+6399+2098+2556+99676</f>
        <v>345202</v>
      </c>
      <c r="E80" s="2">
        <f>C80/D80</f>
        <v>54.052011563048822</v>
      </c>
      <c r="F80">
        <v>13</v>
      </c>
    </row>
    <row r="81" spans="1:6" x14ac:dyDescent="0.3">
      <c r="A81" t="s">
        <v>72</v>
      </c>
      <c r="B81" s="1">
        <v>1.2099623892187843E-3</v>
      </c>
      <c r="C81" s="2">
        <v>779235.68216344039</v>
      </c>
      <c r="D81" s="5">
        <f>19483*2</f>
        <v>38966</v>
      </c>
      <c r="E81" s="2">
        <f>C81/D81</f>
        <v>19.997836117729314</v>
      </c>
      <c r="F81">
        <v>94</v>
      </c>
    </row>
    <row r="82" spans="1:6" x14ac:dyDescent="0.3">
      <c r="A82" t="s">
        <v>110</v>
      </c>
      <c r="B82" s="1">
        <v>1.6440013647108519E-2</v>
      </c>
      <c r="C82" s="2">
        <v>10587639.221870448</v>
      </c>
      <c r="D82" s="5">
        <f>197938*2-72436</f>
        <v>323440</v>
      </c>
      <c r="E82" s="2">
        <f>C82/D82</f>
        <v>32.734476941226959</v>
      </c>
      <c r="F82">
        <v>61</v>
      </c>
    </row>
    <row r="83" spans="1:6" x14ac:dyDescent="0.3">
      <c r="A83" t="s">
        <v>73</v>
      </c>
      <c r="B83" s="1">
        <v>1.0558394190230944E-2</v>
      </c>
      <c r="C83" s="2">
        <v>6799779.5408229288</v>
      </c>
      <c r="D83" s="5">
        <f>148476+21190+7161+2556+56551</f>
        <v>235934</v>
      </c>
      <c r="E83" s="2">
        <f>C83/D83</f>
        <v>28.820685195109348</v>
      </c>
      <c r="F83">
        <v>75</v>
      </c>
    </row>
    <row r="84" spans="1:6" x14ac:dyDescent="0.3">
      <c r="A84" t="s">
        <v>74</v>
      </c>
      <c r="B84" s="1">
        <v>1.1993615102800094E-3</v>
      </c>
      <c r="C84" s="2">
        <v>772408.541745694</v>
      </c>
      <c r="D84" s="5">
        <f>12726*2</f>
        <v>25452</v>
      </c>
      <c r="E84" s="2">
        <f>C84/D84</f>
        <v>30.347656048471396</v>
      </c>
      <c r="F84">
        <v>69</v>
      </c>
    </row>
    <row r="85" spans="1:6" x14ac:dyDescent="0.3">
      <c r="A85" t="s">
        <v>75</v>
      </c>
      <c r="B85" s="1">
        <v>3.748162108153335E-3</v>
      </c>
      <c r="C85" s="2">
        <v>2413878.053756516</v>
      </c>
      <c r="D85" s="5">
        <f>39824*2</f>
        <v>79648</v>
      </c>
      <c r="E85" s="2">
        <f>C85/D85</f>
        <v>30.306825705058706</v>
      </c>
      <c r="F85">
        <v>70</v>
      </c>
    </row>
    <row r="86" spans="1:6" x14ac:dyDescent="0.3">
      <c r="A86" t="s">
        <v>76</v>
      </c>
      <c r="B86" s="1">
        <v>5.8574933186031214E-3</v>
      </c>
      <c r="C86" s="2">
        <v>3772322.0511312713</v>
      </c>
      <c r="D86" s="5">
        <f>63060*2</f>
        <v>126120</v>
      </c>
      <c r="E86" s="2">
        <f>C86/D86</f>
        <v>29.91057763345442</v>
      </c>
      <c r="F86">
        <v>72</v>
      </c>
    </row>
    <row r="87" spans="1:6" x14ac:dyDescent="0.3">
      <c r="A87" t="s">
        <v>77</v>
      </c>
      <c r="B87" s="1">
        <v>1.1183318034491442E-3</v>
      </c>
      <c r="C87" s="2">
        <v>720224.077633037</v>
      </c>
      <c r="D87" s="5">
        <f>13463*2</f>
        <v>26926</v>
      </c>
      <c r="E87" s="2">
        <f>C87/D87</f>
        <v>26.748275927840638</v>
      </c>
      <c r="F87">
        <v>81</v>
      </c>
    </row>
    <row r="88" spans="1:6" x14ac:dyDescent="0.3">
      <c r="A88" t="s">
        <v>78</v>
      </c>
      <c r="B88" s="1">
        <v>4.0302429672713098E-3</v>
      </c>
      <c r="C88" s="2">
        <v>2595542.7671712567</v>
      </c>
      <c r="D88" s="5">
        <f>39490*2</f>
        <v>78980</v>
      </c>
      <c r="E88" s="2">
        <f>C88/D88</f>
        <v>32.863291556992358</v>
      </c>
      <c r="F88">
        <v>59</v>
      </c>
    </row>
    <row r="89" spans="1:6" x14ac:dyDescent="0.3">
      <c r="A89" t="s">
        <v>115</v>
      </c>
      <c r="B89" s="1">
        <v>1.3690080664159282E-2</v>
      </c>
      <c r="C89" s="2">
        <v>8816637.1453053039</v>
      </c>
      <c r="D89" s="5">
        <f>180742*2-93400</f>
        <v>268084</v>
      </c>
      <c r="E89" s="2">
        <f>C89/D89</f>
        <v>32.887591744771427</v>
      </c>
      <c r="F89">
        <v>58</v>
      </c>
    </row>
    <row r="90" spans="1:6" x14ac:dyDescent="0.3">
      <c r="A90" t="s">
        <v>79</v>
      </c>
      <c r="B90" s="1">
        <v>2.6614298595485082E-3</v>
      </c>
      <c r="C90" s="2">
        <v>1714004.6092461091</v>
      </c>
      <c r="D90" s="5">
        <f>20724*2</f>
        <v>41448</v>
      </c>
      <c r="E90" s="2">
        <f>C90/D90</f>
        <v>41.353131857896862</v>
      </c>
      <c r="F90">
        <v>35</v>
      </c>
    </row>
    <row r="91" spans="1:6" x14ac:dyDescent="0.3">
      <c r="A91" t="s">
        <v>80</v>
      </c>
      <c r="B91" s="1">
        <v>1.5254339861741793E-2</v>
      </c>
      <c r="C91" s="2">
        <v>9824045.8001277428</v>
      </c>
      <c r="D91" s="5">
        <f>143667*2-25940-9-277</f>
        <v>261108</v>
      </c>
      <c r="E91" s="2">
        <f>C91/D91</f>
        <v>37.624453483339245</v>
      </c>
      <c r="F91">
        <v>44</v>
      </c>
    </row>
    <row r="92" spans="1:6" x14ac:dyDescent="0.3">
      <c r="A92" t="s">
        <v>81</v>
      </c>
      <c r="B92" s="1">
        <v>7.4913283997952934E-3</v>
      </c>
      <c r="C92" s="2">
        <v>4824538.7195000723</v>
      </c>
      <c r="D92" s="5">
        <f>44829*2</f>
        <v>89658</v>
      </c>
      <c r="E92" s="2">
        <f>C92/D92</f>
        <v>53.810465541279889</v>
      </c>
      <c r="F92">
        <v>14</v>
      </c>
    </row>
    <row r="93" spans="1:6" x14ac:dyDescent="0.3">
      <c r="A93" t="s">
        <v>82</v>
      </c>
      <c r="B93" s="1">
        <v>1.3597353435740802E-2</v>
      </c>
      <c r="C93" s="2">
        <v>8756919.2848696169</v>
      </c>
      <c r="D93" s="5">
        <f>130625*2</f>
        <v>261250</v>
      </c>
      <c r="E93" s="2">
        <f>C93/D93</f>
        <v>33.519308267443506</v>
      </c>
      <c r="F93">
        <v>55</v>
      </c>
    </row>
    <row r="94" spans="1:6" x14ac:dyDescent="0.3">
      <c r="A94" t="s">
        <v>83</v>
      </c>
      <c r="B94" s="1">
        <v>1.3653688374775595E-2</v>
      </c>
      <c r="C94" s="2">
        <v>8793199.9123003185</v>
      </c>
      <c r="D94" s="5">
        <f>91010*2</f>
        <v>182020</v>
      </c>
      <c r="E94" s="2">
        <f>C94/D94</f>
        <v>48.308976553677169</v>
      </c>
      <c r="F94">
        <v>19</v>
      </c>
    </row>
    <row r="95" spans="1:6" x14ac:dyDescent="0.3">
      <c r="A95" t="s">
        <v>84</v>
      </c>
      <c r="B95" s="1">
        <v>2.3352192879133732E-2</v>
      </c>
      <c r="C95" s="2">
        <v>15039196.350502161</v>
      </c>
      <c r="D95" s="5">
        <f>142088*2-10624-33988</f>
        <v>239564</v>
      </c>
      <c r="E95" s="2">
        <f>C95/D95</f>
        <v>62.777363671094825</v>
      </c>
      <c r="F95">
        <v>11</v>
      </c>
    </row>
    <row r="96" spans="1:6" x14ac:dyDescent="0.3">
      <c r="A96" t="s">
        <v>85</v>
      </c>
      <c r="B96" s="1">
        <v>9.2894161799468734E-3</v>
      </c>
      <c r="C96" s="2">
        <v>5982536.8279047515</v>
      </c>
      <c r="D96" s="5">
        <f>67029*2</f>
        <v>134058</v>
      </c>
      <c r="E96" s="2">
        <f>C96/D96</f>
        <v>44.626481283509762</v>
      </c>
      <c r="F96">
        <v>27</v>
      </c>
    </row>
    <row r="97" spans="1:6" x14ac:dyDescent="0.3">
      <c r="A97" t="s">
        <v>86</v>
      </c>
      <c r="B97" s="1">
        <v>6.1951374052622602E-3</v>
      </c>
      <c r="C97" s="2">
        <v>3989770.3970804061</v>
      </c>
      <c r="D97" s="5">
        <f>63531*2</f>
        <v>127062</v>
      </c>
      <c r="E97" s="2">
        <f>C97/D97</f>
        <v>31.400185713119626</v>
      </c>
      <c r="F97">
        <v>65</v>
      </c>
    </row>
    <row r="98" spans="1:6" x14ac:dyDescent="0.3">
      <c r="A98" t="s">
        <v>87</v>
      </c>
      <c r="B98" s="1">
        <v>4.4914827420940188E-3</v>
      </c>
      <c r="C98" s="2">
        <v>2892588.7694085175</v>
      </c>
      <c r="D98" s="5">
        <f>34823*2</f>
        <v>69646</v>
      </c>
      <c r="E98" s="2">
        <f>C98/D98</f>
        <v>41.532733673269355</v>
      </c>
      <c r="F98">
        <v>33</v>
      </c>
    </row>
    <row r="99" spans="1:6" x14ac:dyDescent="0.3">
      <c r="A99" t="s">
        <v>88</v>
      </c>
      <c r="B99" s="1">
        <v>7.2497420858955511E-3</v>
      </c>
      <c r="C99" s="2">
        <v>4668953.1593285995</v>
      </c>
      <c r="D99" s="5">
        <f>62806*2</f>
        <v>125612</v>
      </c>
      <c r="E99" s="2">
        <f>C99/D99</f>
        <v>37.169642703950252</v>
      </c>
      <c r="F99">
        <v>46</v>
      </c>
    </row>
    <row r="100" spans="1:6" x14ac:dyDescent="0.3">
      <c r="A100" t="s">
        <v>89</v>
      </c>
      <c r="B100" s="1">
        <v>6.2395311243430302E-3</v>
      </c>
      <c r="C100" s="2">
        <v>4018360.6824313486</v>
      </c>
      <c r="D100" s="5">
        <f>45591*2</f>
        <v>91182</v>
      </c>
      <c r="E100" s="2">
        <f>C100/D100</f>
        <v>44.069670356335116</v>
      </c>
      <c r="F100">
        <v>28</v>
      </c>
    </row>
    <row r="101" spans="1:6" x14ac:dyDescent="0.3">
      <c r="A101" t="s">
        <v>90</v>
      </c>
      <c r="B101" s="1">
        <v>1.4108267060916469E-2</v>
      </c>
      <c r="C101" s="2">
        <v>9085956.0638536308</v>
      </c>
      <c r="D101" s="5">
        <f>71783*2</f>
        <v>143566</v>
      </c>
      <c r="E101" s="2">
        <f>C101/D101</f>
        <v>63.287659082607519</v>
      </c>
      <c r="F101">
        <v>10</v>
      </c>
    </row>
    <row r="102" spans="1:6" x14ac:dyDescent="0.3">
      <c r="A102" t="s">
        <v>91</v>
      </c>
      <c r="B102" s="1">
        <v>2.8116292860450192E-3</v>
      </c>
      <c r="C102" s="2">
        <v>1810735.5106439083</v>
      </c>
      <c r="D102" s="5">
        <f>14271*2</f>
        <v>28542</v>
      </c>
      <c r="E102" s="2">
        <f>C102/D102</f>
        <v>63.441087192344902</v>
      </c>
      <c r="F102">
        <v>9</v>
      </c>
    </row>
    <row r="103" spans="1:6" x14ac:dyDescent="0.3">
      <c r="A103" t="s">
        <v>92</v>
      </c>
      <c r="B103" s="1">
        <v>1.1453823221205008E-4</v>
      </c>
      <c r="C103" s="2">
        <v>73764.505663004442</v>
      </c>
      <c r="D103" s="6">
        <v>4347</v>
      </c>
      <c r="E103" s="2">
        <f>C103/D103</f>
        <v>16.969060423971577</v>
      </c>
    </row>
    <row r="104" spans="1:6" x14ac:dyDescent="0.3">
      <c r="A104" t="s">
        <v>93</v>
      </c>
      <c r="B104" s="1">
        <v>4.9759550945143501E-3</v>
      </c>
      <c r="C104" s="2">
        <v>3204596.9337873538</v>
      </c>
      <c r="D104" s="5">
        <f>34385*2</f>
        <v>68770</v>
      </c>
      <c r="E104" s="2">
        <f>C104/D104</f>
        <v>46.59876303311551</v>
      </c>
      <c r="F104">
        <v>23</v>
      </c>
    </row>
    <row r="105" spans="1:6" x14ac:dyDescent="0.3">
      <c r="A105" t="s">
        <v>94</v>
      </c>
      <c r="B105" s="1">
        <v>4.1440907207785353E-4</v>
      </c>
      <c r="C105" s="2">
        <v>266886.25931901933</v>
      </c>
      <c r="D105" s="5">
        <f>4016*2</f>
        <v>8032</v>
      </c>
      <c r="E105" s="2">
        <f>C105/D105</f>
        <v>33.227870931152808</v>
      </c>
      <c r="F105">
        <v>57</v>
      </c>
    </row>
    <row r="106" spans="1:6" x14ac:dyDescent="0.3">
      <c r="A106" t="s">
        <v>95</v>
      </c>
      <c r="B106" s="1">
        <v>1.4667026798697027E-2</v>
      </c>
      <c r="C106" s="2">
        <v>9445806.5264089368</v>
      </c>
      <c r="D106" s="5">
        <f>239859*2-40252-35540-2</f>
        <v>403924</v>
      </c>
      <c r="E106" s="2">
        <f>C106/D106</f>
        <v>23.385108402592905</v>
      </c>
      <c r="F106">
        <v>87</v>
      </c>
    </row>
    <row r="107" spans="1:6" x14ac:dyDescent="0.3">
      <c r="A107" t="s">
        <v>118</v>
      </c>
      <c r="B107" s="1">
        <v>5.3625825528216212E-3</v>
      </c>
      <c r="C107" s="2">
        <v>3453591.3768391768</v>
      </c>
      <c r="D107" s="5">
        <f>44535*2</f>
        <v>89070</v>
      </c>
      <c r="E107" s="2">
        <f>C107/D107</f>
        <v>38.773901165815388</v>
      </c>
      <c r="F107">
        <v>39</v>
      </c>
    </row>
    <row r="108" spans="1:6" x14ac:dyDescent="0.3">
      <c r="A108" t="s">
        <v>104</v>
      </c>
      <c r="B108" s="1">
        <v>5.6100176275151702E-2</v>
      </c>
      <c r="C108" s="2">
        <v>36129436.351721622</v>
      </c>
      <c r="D108" s="5">
        <f>1111761*2-59300-168029-30324-31407-37812-28846-472791-44318-21</f>
        <v>1350674</v>
      </c>
      <c r="E108" s="2">
        <f>C108/D108</f>
        <v>26.749190664602725</v>
      </c>
      <c r="F108">
        <v>80</v>
      </c>
    </row>
    <row r="109" spans="1:6" x14ac:dyDescent="0.3">
      <c r="A109" t="s">
        <v>96</v>
      </c>
      <c r="B109" s="1">
        <v>1.0639058349512197E-3</v>
      </c>
      <c r="C109" s="2">
        <v>685172.85863004904</v>
      </c>
      <c r="D109" s="5">
        <f>19731*2</f>
        <v>39462</v>
      </c>
      <c r="E109" s="2">
        <f>C109/D109</f>
        <v>17.36285182276745</v>
      </c>
      <c r="F109">
        <v>100</v>
      </c>
    </row>
    <row r="110" spans="1:6" x14ac:dyDescent="0.3">
      <c r="A110" t="s">
        <v>97</v>
      </c>
      <c r="B110" s="1">
        <v>7.4770720453603895E-4</v>
      </c>
      <c r="C110" s="2">
        <v>481535.73927313794</v>
      </c>
      <c r="D110" s="5">
        <f>11580*2</f>
        <v>23160</v>
      </c>
      <c r="E110" s="2">
        <f>C110/D110</f>
        <v>20.791698586923054</v>
      </c>
      <c r="F110">
        <v>93</v>
      </c>
    </row>
    <row r="111" spans="1:6" x14ac:dyDescent="0.3">
      <c r="A111" t="s">
        <v>98</v>
      </c>
      <c r="B111" s="1">
        <v>4.6967579993988772E-3</v>
      </c>
      <c r="C111" s="2">
        <v>3024789.4118272495</v>
      </c>
      <c r="D111" s="5">
        <f>56177*2</f>
        <v>112354</v>
      </c>
      <c r="E111" s="2">
        <f>C111/D111</f>
        <v>26.921955709874588</v>
      </c>
      <c r="F111">
        <v>78</v>
      </c>
    </row>
    <row r="112" spans="1:6" x14ac:dyDescent="0.3">
      <c r="A112" t="s">
        <v>99</v>
      </c>
      <c r="B112" s="1">
        <v>9.7069933307880399E-3</v>
      </c>
      <c r="C112" s="2">
        <v>6251463.3820612626</v>
      </c>
      <c r="D112" s="5">
        <f>123131*2-34186</f>
        <v>212076</v>
      </c>
      <c r="E112" s="2">
        <f>C112/D112</f>
        <v>29.477467427060407</v>
      </c>
      <c r="F112">
        <v>73</v>
      </c>
    </row>
    <row r="113" spans="1:6" x14ac:dyDescent="0.3">
      <c r="A113" t="s">
        <v>100</v>
      </c>
      <c r="B113" s="1">
        <v>1.9971771605891003E-2</v>
      </c>
      <c r="C113" s="2">
        <v>12862149.443650903</v>
      </c>
      <c r="D113" s="5">
        <f>68412*2</f>
        <v>136824</v>
      </c>
      <c r="E113" s="2">
        <f>C113/D113</f>
        <v>94.005068143387874</v>
      </c>
      <c r="F113">
        <v>1</v>
      </c>
    </row>
    <row r="114" spans="1:6" x14ac:dyDescent="0.3">
      <c r="A114" t="s">
        <v>101</v>
      </c>
      <c r="B114" s="1">
        <v>6.464708414904592E-3</v>
      </c>
      <c r="C114" s="2">
        <v>4163378.5616496801</v>
      </c>
      <c r="D114" s="5">
        <f>81801*2-49459</f>
        <v>114143</v>
      </c>
      <c r="E114" s="2">
        <f>C114/D114</f>
        <v>36.475110708932483</v>
      </c>
      <c r="F114">
        <v>49</v>
      </c>
    </row>
    <row r="115" spans="1:6" x14ac:dyDescent="0.3">
      <c r="A115" t="s">
        <v>102</v>
      </c>
      <c r="B115" s="1">
        <v>5.6214714507363756E-3</v>
      </c>
      <c r="C115" s="2">
        <v>3620320.0857384633</v>
      </c>
      <c r="D115" s="5">
        <f>37667*2</f>
        <v>75334</v>
      </c>
      <c r="E115" s="2">
        <f>C115/D115</f>
        <v>48.056920988377932</v>
      </c>
      <c r="F115">
        <v>20</v>
      </c>
    </row>
    <row r="116" spans="1:6" x14ac:dyDescent="0.3">
      <c r="A116" t="s">
        <v>103</v>
      </c>
      <c r="B116" s="1">
        <v>3.8211497688927158E-3</v>
      </c>
      <c r="C116" s="2">
        <v>2460883.3078970904</v>
      </c>
      <c r="D116" s="5">
        <f>18069*2</f>
        <v>36138</v>
      </c>
      <c r="E116" s="2">
        <f>C116/D116</f>
        <v>68.096831808541992</v>
      </c>
      <c r="F116">
        <v>6</v>
      </c>
    </row>
    <row r="118" spans="1:6" x14ac:dyDescent="0.3">
      <c r="A118" s="4" t="s">
        <v>105</v>
      </c>
    </row>
    <row r="119" spans="1:6" s="7" customFormat="1" x14ac:dyDescent="0.3">
      <c r="A119" s="7" t="s">
        <v>123</v>
      </c>
    </row>
    <row r="120" spans="1:6" x14ac:dyDescent="0.3">
      <c r="A120" t="s">
        <v>122</v>
      </c>
    </row>
  </sheetData>
  <sortState xmlns:xlrd2="http://schemas.microsoft.com/office/spreadsheetml/2017/richdata2" ref="A3:F116">
    <sortCondition ref="A3:A116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6760-D21B-4B83-8B56-50B94543FEE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6C9D1D2257B543AD14912964D443C2" ma:contentTypeVersion="12" ma:contentTypeDescription="Create a new document." ma:contentTypeScope="" ma:versionID="a38606eca89f7c1ec8c1a2ecd45a73f2">
  <xsd:schema xmlns:xsd="http://www.w3.org/2001/XMLSchema" xmlns:xs="http://www.w3.org/2001/XMLSchema" xmlns:p="http://schemas.microsoft.com/office/2006/metadata/properties" xmlns:ns2="193fa1ef-30d7-46e2-a886-3808f9273aff" xmlns:ns3="5b369ade-6b23-4ff4-9afe-d5eb79a77f66" targetNamespace="http://schemas.microsoft.com/office/2006/metadata/properties" ma:root="true" ma:fieldsID="5715c40a26eb7a6f347cf8d58852b2fb" ns2:_="" ns3:_="">
    <xsd:import namespace="193fa1ef-30d7-46e2-a886-3808f9273aff"/>
    <xsd:import namespace="5b369ade-6b23-4ff4-9afe-d5eb79a77f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fa1ef-30d7-46e2-a886-3808f9273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69ade-6b23-4ff4-9afe-d5eb79a77f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78A3C-F1A4-45DC-8D97-C1B9565CFB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346DE4-421D-4E81-BC8E-CA14683E5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fa1ef-30d7-46e2-a886-3808f9273aff"/>
    <ds:schemaRef ds:uri="5b369ade-6b23-4ff4-9afe-d5eb79a77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A2E547-E434-4BE3-B055-424E039AD8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 Opioid Settlement Payments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Mosteller, Daniel</cp:lastModifiedBy>
  <dcterms:created xsi:type="dcterms:W3CDTF">2022-03-23T01:11:58Z</dcterms:created>
  <dcterms:modified xsi:type="dcterms:W3CDTF">2022-12-14T15:36:42Z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0x010100406C9D1D2257B543AD14912964D443C2</vt:lpwstr>
  </property>
</Properties>
</file>